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ombrerocapital-my.sharepoint.com/personal/eric_sombrerocapital_com/Documents/_CoveyFinancial/Servicing Agreement Templates/"/>
    </mc:Choice>
  </mc:AlternateContent>
  <xr:revisionPtr revIDLastSave="56" documentId="8_{BC3DF25C-B44C-4A00-9AAE-9985408C86F5}" xr6:coauthVersionLast="47" xr6:coauthVersionMax="47" xr10:uidLastSave="{418A89D7-D687-4CA0-A67F-C588CE4A898E}"/>
  <bookViews>
    <workbookView xWindow="-120" yWindow="-120" windowWidth="29040" windowHeight="15720" tabRatio="500" xr2:uid="{00000000-000D-0000-FFFF-FFFF00000000}"/>
  </bookViews>
  <sheets>
    <sheet name="Setup &amp; Summary" sheetId="1" r:id="rId1"/>
    <sheet name="Escrow Items" sheetId="2" r:id="rId2"/>
    <sheet name="12-Month Ledger"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9" i="3" l="1"/>
  <c r="D5" i="3"/>
  <c r="D6" i="3" s="1"/>
  <c r="C5" i="3"/>
  <c r="C6" i="3" s="1"/>
  <c r="G10" i="2"/>
  <c r="O7" i="3" s="1"/>
  <c r="C10" i="2"/>
  <c r="C18" i="1" s="1"/>
  <c r="G9" i="2"/>
  <c r="F9" i="2"/>
  <c r="H9" i="2" s="1"/>
  <c r="G8" i="2"/>
  <c r="F8" i="2"/>
  <c r="H8" i="2" s="1"/>
  <c r="G7" i="2"/>
  <c r="F7" i="2"/>
  <c r="H7" i="2" s="1"/>
  <c r="G6" i="2"/>
  <c r="F6" i="2"/>
  <c r="H6" i="2" s="1"/>
  <c r="G5" i="2"/>
  <c r="F5" i="2"/>
  <c r="H5" i="2" s="1"/>
  <c r="C22" i="1"/>
  <c r="C9" i="1"/>
  <c r="D8" i="3" l="1"/>
  <c r="C8" i="3"/>
  <c r="C10" i="3" s="1"/>
  <c r="D10" i="3" s="1"/>
  <c r="C19" i="1"/>
  <c r="I7" i="3"/>
  <c r="C14" i="3"/>
  <c r="E5" i="3"/>
  <c r="J7" i="3"/>
  <c r="D7" i="3"/>
  <c r="D9" i="3" s="1"/>
  <c r="G7" i="3"/>
  <c r="K7" i="3"/>
  <c r="L7" i="3"/>
  <c r="M7" i="3"/>
  <c r="E7" i="3"/>
  <c r="F7" i="3"/>
  <c r="H7" i="3"/>
  <c r="N7" i="3"/>
  <c r="D11" i="3" l="1"/>
  <c r="E9" i="3"/>
  <c r="E6" i="3"/>
  <c r="E8" i="3" s="1"/>
  <c r="F5" i="3"/>
  <c r="H22" i="3"/>
  <c r="G22" i="3"/>
  <c r="F22" i="3"/>
  <c r="E22" i="3"/>
  <c r="D22" i="3"/>
  <c r="C22" i="3"/>
  <c r="O22" i="3"/>
  <c r="N22" i="3"/>
  <c r="M22" i="3"/>
  <c r="L22" i="3"/>
  <c r="K22" i="3"/>
  <c r="J22" i="3"/>
  <c r="I22" i="3"/>
  <c r="C11" i="3"/>
  <c r="E10" i="3"/>
  <c r="F6" i="3" l="1"/>
  <c r="F8" i="3" s="1"/>
  <c r="F10" i="3" s="1"/>
  <c r="G5" i="3"/>
  <c r="E11" i="3"/>
  <c r="F9" i="3"/>
  <c r="G6" i="3" l="1"/>
  <c r="G8" i="3" s="1"/>
  <c r="G10" i="3" s="1"/>
  <c r="H5" i="3"/>
  <c r="F11" i="3"/>
  <c r="G9" i="3"/>
  <c r="G11" i="3" l="1"/>
  <c r="H9" i="3"/>
  <c r="I5" i="3"/>
  <c r="H6" i="3"/>
  <c r="H8" i="3" s="1"/>
  <c r="H10" i="3" s="1"/>
  <c r="J5" i="3" l="1"/>
  <c r="I6" i="3"/>
  <c r="I8" i="3" s="1"/>
  <c r="I10" i="3" s="1"/>
  <c r="H11" i="3"/>
  <c r="I9" i="3"/>
  <c r="I11" i="3" l="1"/>
  <c r="J9" i="3"/>
  <c r="K5" i="3"/>
  <c r="J6" i="3"/>
  <c r="J8" i="3" s="1"/>
  <c r="J10" i="3" s="1"/>
  <c r="K6" i="3" l="1"/>
  <c r="K8" i="3" s="1"/>
  <c r="K10" i="3" s="1"/>
  <c r="L5" i="3"/>
  <c r="J11" i="3"/>
  <c r="K9" i="3"/>
  <c r="K11" i="3" l="1"/>
  <c r="L9" i="3"/>
  <c r="M5" i="3"/>
  <c r="L6" i="3"/>
  <c r="L8" i="3" s="1"/>
  <c r="L10" i="3" s="1"/>
  <c r="M6" i="3" l="1"/>
  <c r="M8" i="3" s="1"/>
  <c r="M10" i="3" s="1"/>
  <c r="N5" i="3"/>
  <c r="M9" i="3"/>
  <c r="L11" i="3"/>
  <c r="N9" i="3" l="1"/>
  <c r="M11" i="3"/>
  <c r="O5" i="3"/>
  <c r="O6" i="3" s="1"/>
  <c r="O8" i="3" s="1"/>
  <c r="N6" i="3"/>
  <c r="N8" i="3" s="1"/>
  <c r="N10" i="3" s="1"/>
  <c r="O10" i="3" s="1"/>
  <c r="O9" i="3" l="1"/>
  <c r="O11" i="3" s="1"/>
  <c r="C13" i="3" s="1"/>
  <c r="C15" i="3" s="1"/>
  <c r="N11" i="3"/>
  <c r="C20" i="3" l="1"/>
  <c r="C21" i="3" s="1"/>
  <c r="C16" i="3"/>
  <c r="C21" i="1" s="1"/>
  <c r="C20" i="1"/>
  <c r="D20" i="3" l="1"/>
  <c r="D21" i="3" s="1"/>
  <c r="C23" i="3"/>
  <c r="E20" i="3" l="1"/>
  <c r="E21" i="3" s="1"/>
  <c r="D23" i="3"/>
  <c r="F20" i="3" l="1"/>
  <c r="F21" i="3" s="1"/>
  <c r="E23" i="3"/>
  <c r="G20" i="3" l="1"/>
  <c r="G21" i="3" s="1"/>
  <c r="F23" i="3"/>
  <c r="H20" i="3" l="1"/>
  <c r="H21" i="3" s="1"/>
  <c r="G23" i="3"/>
  <c r="I20" i="3" l="1"/>
  <c r="I21" i="3" s="1"/>
  <c r="H23" i="3"/>
  <c r="J20" i="3" l="1"/>
  <c r="J21" i="3" s="1"/>
  <c r="I23" i="3"/>
  <c r="K20" i="3" l="1"/>
  <c r="K21" i="3" s="1"/>
  <c r="J23" i="3"/>
  <c r="L20" i="3" l="1"/>
  <c r="L21" i="3" s="1"/>
  <c r="K23" i="3"/>
  <c r="M20" i="3" l="1"/>
  <c r="M21" i="3" s="1"/>
  <c r="L23" i="3"/>
  <c r="N20" i="3" l="1"/>
  <c r="N21" i="3" s="1"/>
  <c r="M23" i="3"/>
  <c r="N23" i="3" l="1"/>
  <c r="O20" i="3"/>
  <c r="O21" i="3" s="1"/>
  <c r="O23" i="3" s="1"/>
</calcChain>
</file>

<file path=xl/sharedStrings.xml><?xml version="1.0" encoding="utf-8"?>
<sst xmlns="http://schemas.openxmlformats.org/spreadsheetml/2006/main" count="80" uniqueCount="78">
  <si>
    <t>NEW LOAN ESCROW DEPOSIT CALCULATOR</t>
  </si>
  <si>
    <t>Covey Financial, LLC  |  Required Initial Escrow Deposit &amp; Monthly Escrow Payment (RESPA Aggregate Accounting Method)</t>
  </si>
  <si>
    <t>LOAN INFORMATION</t>
  </si>
  <si>
    <t>Borrower Name</t>
  </si>
  <si>
    <t>Property Address</t>
  </si>
  <si>
    <t>Loan Number</t>
  </si>
  <si>
    <t>Servicer</t>
  </si>
  <si>
    <t>Covey Financial, LLC</t>
  </si>
  <si>
    <t>CLOSING TIMING  (drives the whole model — enter carefully)</t>
  </si>
  <si>
    <t>Closing Date</t>
  </si>
  <si>
    <t>First Mortgage Payment Date</t>
  </si>
  <si>
    <t>Cushion (months, RESPA max = 2)</t>
  </si>
  <si>
    <t>Current Escrow Balance (0 for new closing; enter balance if this is a transferred loan)</t>
  </si>
  <si>
    <t>RESULTS</t>
  </si>
  <si>
    <t>Total Annual Escrow Obligations</t>
  </si>
  <si>
    <t>Recommended Monthly Escrow Payment</t>
  </si>
  <si>
    <t>REQUIRED INITIAL ESCROW DEPOSIT  (request from title/closing agent)</t>
  </si>
  <si>
    <t>Resulting Low-Point Balance (should equal cushion target)</t>
  </si>
  <si>
    <t>Cushion Target</t>
  </si>
  <si>
    <t>HOW TO USE</t>
  </si>
  <si>
    <t>1. Fill in the yellow cells on this tab (closing date, first payment date, cushion, current balance).</t>
  </si>
  <si>
    <t>2. Go to the 'Escrow Items' tab and enter each item's annual amount and next due date.</t>
  </si>
  <si>
    <t>3. If an item's very next due date is being paid OUTSIDE escrow at/before closing (e.g. a hazard</t>
  </si>
  <si>
    <t xml:space="preserve">   insurance premium paid directly at closing), mark it 'Y' in that column — the model will skip that</t>
  </si>
  <si>
    <t xml:space="preserve">   one disbursement and schedule the item's following cycle instead, exactly like a real escrow account.</t>
  </si>
  <si>
    <t>4. The '12-Month Ledger' tab projects the account month by month and solves for the initial deposit</t>
  </si>
  <si>
    <t xml:space="preserve">   needed so the account never dips below the cushion target. Read the answer off row 'RESULTS' above.</t>
  </si>
  <si>
    <t>ESCROW ITEMS</t>
  </si>
  <si>
    <t>Enter each escrowed item. Leave Annual Amount blank for items that don't apply.</t>
  </si>
  <si>
    <t>Item</t>
  </si>
  <si>
    <t>Annual Amount</t>
  </si>
  <si>
    <t>Next Due Date</t>
  </si>
  <si>
    <t>Paid Outside
Escrow at Closing? (Y/N)</t>
  </si>
  <si>
    <t>Effective Ledger
Due Date</t>
  </si>
  <si>
    <t>Monthly Amount</t>
  </si>
  <si>
    <t>Period Key
(helper)</t>
  </si>
  <si>
    <t>Property Taxes</t>
  </si>
  <si>
    <t>N</t>
  </si>
  <si>
    <t>Homeowners Insurance</t>
  </si>
  <si>
    <t>Y</t>
  </si>
  <si>
    <t>PMI / MIP</t>
  </si>
  <si>
    <t>Flood Insurance</t>
  </si>
  <si>
    <t>HOA / Other</t>
  </si>
  <si>
    <t>TOTAL</t>
  </si>
  <si>
    <t>Note: 'Paid Outside Escrow at Closing' = Y means this specific upcoming bill is being paid directly by the borrower/title at or before closing (not disbursed from the new escrow account). The model pushes that item's ledger due date forward one year so the account builds toward the NEXT cycle, matching how a real escrow account starts.</t>
  </si>
  <si>
    <t>12-MONTH AGGREGATE ESCROW LEDGER</t>
  </si>
  <si>
    <t>Solves for the initial deposit so the projected balance never falls below the cushion target.</t>
  </si>
  <si>
    <t>Period</t>
  </si>
  <si>
    <t>Closing</t>
  </si>
  <si>
    <t>Pmt 1</t>
  </si>
  <si>
    <t>Pmt 2</t>
  </si>
  <si>
    <t>Pmt 3</t>
  </si>
  <si>
    <t>Pmt 4</t>
  </si>
  <si>
    <t>Pmt 5</t>
  </si>
  <si>
    <t>Pmt 6</t>
  </si>
  <si>
    <t>Pmt 7</t>
  </si>
  <si>
    <t>Pmt 8</t>
  </si>
  <si>
    <t>Pmt 9</t>
  </si>
  <si>
    <t>Pmt 10</t>
  </si>
  <si>
    <t>Pmt 11</t>
  </si>
  <si>
    <t>Pmt 12</t>
  </si>
  <si>
    <t>Period Date</t>
  </si>
  <si>
    <t>Period Key (helper)</t>
  </si>
  <si>
    <t>+ Monthly Deposit Collected</t>
  </si>
  <si>
    <t>- Disbursements</t>
  </si>
  <si>
    <t>Cumulative Deposits (excl. initial)</t>
  </si>
  <si>
    <t>Cumulative Disbursements</t>
  </si>
  <si>
    <t>Balance Before Initial Deposit</t>
  </si>
  <si>
    <t>Lowest 'Balance Before Initial Deposit'</t>
  </si>
  <si>
    <t>REQUIRED INITIAL DEPOSIT  (= Cushion Target − Lowest Balance − Current Balance)</t>
  </si>
  <si>
    <t>Resulting Low-Point Balance  (Required Deposit + Lowest Balance + Current Balance)</t>
  </si>
  <si>
    <t>FULL LEDGER WITH INITIAL DEPOSIT APPLIED</t>
  </si>
  <si>
    <t>Beginning Balance</t>
  </si>
  <si>
    <t>Ending Balance</t>
  </si>
  <si>
    <t>Cushion Target (ref.)</t>
  </si>
  <si>
    <t>Surplus vs. Cushion</t>
  </si>
  <si>
    <t>This is the quoted escrow payment</t>
  </si>
  <si>
    <t>This is the required amount to send to Covey Financial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</si>
</sst>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
  </numFmts>
  <fonts count="14" x14ac:knownFonts="1">
    <font>
      <sz val="11"/>
      <color theme="1"/>
      <name val="Calibri"/>
      <family val="2"/>
      <charset val="1"/>
    </font>
    <font>
      <b/>
      <sz val="16"/>
      <color rgb="FF1F3864"/>
      <name val="Arial"/>
      <charset val="1"/>
    </font>
    <font>
      <i/>
      <sz val="10"/>
      <color rgb="FF595959"/>
      <name val="Arial"/>
      <charset val="1"/>
    </font>
    <font>
      <b/>
      <sz val="11"/>
      <color rgb="FFFFFFFF"/>
      <name val="Arial"/>
      <charset val="1"/>
    </font>
    <font>
      <b/>
      <sz val="10"/>
      <name val="Arial"/>
      <charset val="1"/>
    </font>
    <font>
      <sz val="10"/>
      <color rgb="FF0000FF"/>
      <name val="Arial"/>
      <charset val="1"/>
    </font>
    <font>
      <sz val="10"/>
      <name val="Arial"/>
      <charset val="1"/>
    </font>
    <font>
      <b/>
      <sz val="12"/>
      <color rgb="FFFFFFFF"/>
      <name val="Arial"/>
      <charset val="1"/>
    </font>
    <font>
      <i/>
      <sz val="9"/>
      <color rgb="FF808080"/>
      <name val="Arial"/>
      <charset val="1"/>
    </font>
    <font>
      <b/>
      <sz val="10"/>
      <color rgb="FFFFFFFF"/>
      <name val="Arial"/>
      <charset val="1"/>
    </font>
    <font>
      <i/>
      <sz val="10"/>
      <color rgb="FF595959"/>
      <name val="Arial"/>
      <family val="2"/>
    </font>
    <font>
      <b/>
      <sz val="10"/>
      <name val="Arial"/>
      <family val="2"/>
    </font>
    <font>
      <b/>
      <sz val="12"/>
      <color rgb="FFFFFFFF"/>
      <name val="Arial"/>
      <family val="2"/>
    </font>
    <font>
      <b/>
      <i/>
      <sz val="11"/>
      <color theme="1"/>
      <name val="Calibri"/>
      <family val="2"/>
    </font>
  </fonts>
  <fills count="8">
    <fill>
      <patternFill patternType="none"/>
    </fill>
    <fill>
      <patternFill patternType="gray125"/>
    </fill>
    <fill>
      <patternFill patternType="solid">
        <fgColor rgb="FF1F3864"/>
        <bgColor rgb="FF333333"/>
      </patternFill>
    </fill>
    <fill>
      <patternFill patternType="solid">
        <fgColor rgb="FFFFF2CC"/>
        <bgColor rgb="FFFFFFFF"/>
      </patternFill>
    </fill>
    <fill>
      <patternFill patternType="solid">
        <fgColor rgb="FF2E7D32"/>
        <bgColor rgb="FF008000"/>
      </patternFill>
    </fill>
    <fill>
      <patternFill patternType="solid">
        <fgColor rgb="FF4472C4"/>
        <bgColor rgb="FF0066CC"/>
      </patternFill>
    </fill>
    <fill>
      <patternFill patternType="solid">
        <fgColor rgb="FFD9E1F2"/>
        <bgColor rgb="FFCCFFFF"/>
      </patternFill>
    </fill>
    <fill>
      <patternFill patternType="solid">
        <fgColor theme="9" tint="0.79998168889431442"/>
        <bgColor indexed="64"/>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3" fillId="2" borderId="0" xfId="0" applyFont="1" applyFill="1"/>
    <xf numFmtId="0" fontId="0" fillId="2" borderId="0" xfId="0" applyFill="1"/>
    <xf numFmtId="0" fontId="4" fillId="0" borderId="0" xfId="0" applyFont="1"/>
    <xf numFmtId="165" fontId="6" fillId="0" borderId="0" xfId="0" applyNumberFormat="1" applyFont="1"/>
    <xf numFmtId="0" fontId="7" fillId="4" borderId="0" xfId="0" applyFont="1" applyFill="1"/>
    <xf numFmtId="165" fontId="7" fillId="4" borderId="0" xfId="0" applyNumberFormat="1" applyFont="1" applyFill="1"/>
    <xf numFmtId="0" fontId="8" fillId="0" borderId="0" xfId="0" applyFont="1"/>
    <xf numFmtId="0" fontId="9" fillId="5" borderId="1" xfId="0" applyFont="1" applyFill="1" applyBorder="1" applyAlignment="1">
      <alignment horizontal="center" vertical="center" wrapText="1"/>
    </xf>
    <xf numFmtId="0" fontId="6" fillId="0" borderId="1" xfId="0" applyFont="1" applyBorder="1"/>
    <xf numFmtId="164" fontId="6" fillId="0" borderId="1" xfId="0" applyNumberFormat="1" applyFont="1" applyBorder="1"/>
    <xf numFmtId="165" fontId="6" fillId="0" borderId="1" xfId="0" applyNumberFormat="1" applyFont="1" applyBorder="1"/>
    <xf numFmtId="0" fontId="4" fillId="6" borderId="1" xfId="0" applyFont="1" applyFill="1" applyBorder="1"/>
    <xf numFmtId="165" fontId="4" fillId="6" borderId="1" xfId="0" applyNumberFormat="1" applyFont="1" applyFill="1" applyBorder="1"/>
    <xf numFmtId="0" fontId="0" fillId="6" borderId="1" xfId="0" applyFill="1" applyBorder="1"/>
    <xf numFmtId="0" fontId="9" fillId="5" borderId="0" xfId="0" applyFont="1" applyFill="1"/>
    <xf numFmtId="0" fontId="9" fillId="5" borderId="0" xfId="0" applyFont="1" applyFill="1" applyAlignment="1">
      <alignment horizontal="center"/>
    </xf>
    <xf numFmtId="164" fontId="6" fillId="0" borderId="0" xfId="0" applyNumberFormat="1" applyFont="1" applyAlignment="1">
      <alignment horizontal="center"/>
    </xf>
    <xf numFmtId="165" fontId="8" fillId="0" borderId="0" xfId="0" applyNumberFormat="1" applyFont="1"/>
    <xf numFmtId="165" fontId="5" fillId="3" borderId="1" xfId="0" applyNumberFormat="1" applyFont="1" applyFill="1" applyBorder="1" applyProtection="1">
      <protection locked="0"/>
    </xf>
    <xf numFmtId="164" fontId="5" fillId="3" borderId="1" xfId="0" applyNumberFormat="1" applyFont="1" applyFill="1" applyBorder="1" applyProtection="1">
      <protection locked="0"/>
    </xf>
    <xf numFmtId="0" fontId="5" fillId="3" borderId="1" xfId="0" applyFont="1" applyFill="1" applyBorder="1" applyAlignment="1" applyProtection="1">
      <alignment horizontal="center"/>
      <protection locked="0"/>
    </xf>
    <xf numFmtId="0" fontId="10" fillId="0" borderId="0" xfId="0" applyFont="1"/>
    <xf numFmtId="0" fontId="8" fillId="0" borderId="0" xfId="0" applyFont="1" applyAlignment="1">
      <alignment vertical="top" wrapText="1"/>
    </xf>
    <xf numFmtId="0" fontId="13" fillId="0" borderId="0" xfId="0" applyFont="1"/>
    <xf numFmtId="0" fontId="5" fillId="3" borderId="2" xfId="0" applyFont="1" applyFill="1" applyBorder="1" applyAlignment="1" applyProtection="1">
      <alignment horizontal="center" vertical="center"/>
      <protection locked="0"/>
    </xf>
    <xf numFmtId="0" fontId="6" fillId="0" borderId="2" xfId="0" applyFont="1" applyBorder="1" applyAlignment="1">
      <alignment horizontal="center" vertical="center"/>
    </xf>
    <xf numFmtId="164" fontId="6" fillId="7" borderId="2" xfId="0" applyNumberFormat="1" applyFont="1" applyFill="1" applyBorder="1" applyAlignment="1" applyProtection="1">
      <alignment horizontal="center" vertical="center"/>
      <protection locked="0"/>
    </xf>
    <xf numFmtId="164" fontId="5" fillId="3" borderId="2" xfId="0" applyNumberFormat="1" applyFont="1" applyFill="1" applyBorder="1" applyAlignment="1" applyProtection="1">
      <alignment horizontal="center" vertical="center"/>
      <protection locked="0"/>
    </xf>
    <xf numFmtId="165" fontId="5" fillId="3" borderId="2" xfId="0" applyNumberFormat="1" applyFont="1" applyFill="1" applyBorder="1" applyAlignment="1" applyProtection="1">
      <alignment horizontal="center" vertical="center"/>
      <protection locked="0"/>
    </xf>
    <xf numFmtId="165" fontId="6" fillId="0" borderId="2" xfId="0" applyNumberFormat="1" applyFont="1" applyBorder="1" applyAlignment="1">
      <alignment horizontal="center" vertical="center"/>
    </xf>
    <xf numFmtId="165" fontId="11" fillId="0" borderId="2" xfId="0" applyNumberFormat="1" applyFont="1" applyBorder="1" applyAlignment="1">
      <alignment horizontal="center" vertical="center"/>
    </xf>
    <xf numFmtId="165" fontId="12" fillId="4" borderId="2" xfId="0" applyNumberFormat="1" applyFont="1" applyFill="1" applyBorder="1" applyAlignment="1">
      <alignment horizontal="center" vertical="center"/>
    </xf>
    <xf numFmtId="0" fontId="4" fillId="0" borderId="2" xfId="0" applyFont="1" applyBorder="1"/>
    <xf numFmtId="0" fontId="11" fillId="0" borderId="2" xfId="0" applyFont="1" applyBorder="1"/>
    <xf numFmtId="0" fontId="12" fillId="4" borderId="2" xfId="0" applyFont="1" applyFill="1" applyBorder="1" applyAlignment="1">
      <alignment wrapText="1"/>
    </xf>
    <xf numFmtId="0" fontId="4" fillId="0" borderId="2" xfId="0" applyFont="1" applyBorder="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FF9900"/>
      <rgbColor rgb="FFFF6600"/>
      <rgbColor rgb="FF595959"/>
      <rgbColor rgb="FF969696"/>
      <rgbColor rgb="FF1F3864"/>
      <rgbColor rgb="FF2E7D32"/>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sheetPr>
  <dimension ref="B1:D31"/>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C7" sqref="C7"/>
    </sheetView>
  </sheetViews>
  <sheetFormatPr defaultColWidth="8.7109375" defaultRowHeight="15" x14ac:dyDescent="0.25"/>
  <cols>
    <col min="1" max="1" width="3" customWidth="1"/>
    <col min="2" max="2" width="55.28515625" customWidth="1"/>
    <col min="3" max="3" width="52.5703125" customWidth="1"/>
    <col min="4" max="11" width="16" customWidth="1"/>
  </cols>
  <sheetData>
    <row r="1" spans="2:4" ht="20.25" x14ac:dyDescent="0.3">
      <c r="B1" s="1" t="s">
        <v>0</v>
      </c>
    </row>
    <row r="2" spans="2:4" x14ac:dyDescent="0.25">
      <c r="B2" s="2" t="s">
        <v>1</v>
      </c>
    </row>
    <row r="4" spans="2:4" x14ac:dyDescent="0.25">
      <c r="B4" s="3" t="s">
        <v>2</v>
      </c>
      <c r="C4" s="4"/>
      <c r="D4" s="4"/>
    </row>
    <row r="5" spans="2:4" x14ac:dyDescent="0.25">
      <c r="B5" s="35" t="s">
        <v>3</v>
      </c>
      <c r="C5" s="27"/>
    </row>
    <row r="6" spans="2:4" x14ac:dyDescent="0.25">
      <c r="B6" s="35" t="s">
        <v>4</v>
      </c>
      <c r="C6" s="27"/>
    </row>
    <row r="7" spans="2:4" x14ac:dyDescent="0.25">
      <c r="B7" s="35" t="s">
        <v>5</v>
      </c>
      <c r="C7" s="27"/>
    </row>
    <row r="8" spans="2:4" x14ac:dyDescent="0.25">
      <c r="B8" s="35" t="s">
        <v>6</v>
      </c>
      <c r="C8" s="28" t="s">
        <v>7</v>
      </c>
    </row>
    <row r="9" spans="2:4" x14ac:dyDescent="0.25">
      <c r="B9" s="36" t="s">
        <v>9</v>
      </c>
      <c r="C9" s="29">
        <f ca="1">TODAY()</f>
        <v>46237</v>
      </c>
    </row>
    <row r="11" spans="2:4" x14ac:dyDescent="0.25">
      <c r="B11" s="3" t="s">
        <v>8</v>
      </c>
      <c r="C11" s="4"/>
      <c r="D11" s="4"/>
    </row>
    <row r="12" spans="2:4" x14ac:dyDescent="0.25">
      <c r="B12" s="35" t="s">
        <v>9</v>
      </c>
      <c r="C12" s="30">
        <v>46242</v>
      </c>
    </row>
    <row r="13" spans="2:4" x14ac:dyDescent="0.25">
      <c r="B13" s="35" t="s">
        <v>10</v>
      </c>
      <c r="C13" s="30">
        <v>46296</v>
      </c>
    </row>
    <row r="14" spans="2:4" x14ac:dyDescent="0.25">
      <c r="B14" s="35" t="s">
        <v>11</v>
      </c>
      <c r="C14" s="27">
        <v>2</v>
      </c>
    </row>
    <row r="15" spans="2:4" ht="26.25" x14ac:dyDescent="0.25">
      <c r="B15" s="38" t="s">
        <v>12</v>
      </c>
      <c r="C15" s="31">
        <v>0</v>
      </c>
    </row>
    <row r="17" spans="2:4" x14ac:dyDescent="0.25">
      <c r="B17" s="3" t="s">
        <v>13</v>
      </c>
      <c r="C17" s="4"/>
      <c r="D17" s="4"/>
    </row>
    <row r="18" spans="2:4" x14ac:dyDescent="0.25">
      <c r="B18" s="35" t="s">
        <v>14</v>
      </c>
      <c r="C18" s="32">
        <f>'Escrow Items'!C10</f>
        <v>34707.300000000003</v>
      </c>
    </row>
    <row r="19" spans="2:4" x14ac:dyDescent="0.25">
      <c r="B19" s="36" t="s">
        <v>15</v>
      </c>
      <c r="C19" s="33">
        <f>'Escrow Items'!G10</f>
        <v>2892.2750000000001</v>
      </c>
      <c r="D19" s="26" t="s">
        <v>76</v>
      </c>
    </row>
    <row r="20" spans="2:4" ht="41.25" customHeight="1" x14ac:dyDescent="0.25">
      <c r="B20" s="37" t="s">
        <v>16</v>
      </c>
      <c r="C20" s="34">
        <f>'12-Month Ledger'!C15</f>
        <v>29160.3</v>
      </c>
      <c r="D20" s="26" t="s">
        <v>77</v>
      </c>
    </row>
    <row r="21" spans="2:4" x14ac:dyDescent="0.25">
      <c r="B21" s="35" t="s">
        <v>17</v>
      </c>
      <c r="C21" s="32">
        <f>'12-Month Ledger'!C16</f>
        <v>5784.5499999999993</v>
      </c>
    </row>
    <row r="22" spans="2:4" x14ac:dyDescent="0.25">
      <c r="B22" s="35" t="s">
        <v>18</v>
      </c>
      <c r="C22" s="32">
        <f>C14*'Escrow Items'!F10</f>
        <v>0</v>
      </c>
    </row>
    <row r="24" spans="2:4" x14ac:dyDescent="0.25">
      <c r="B24" s="3" t="s">
        <v>19</v>
      </c>
      <c r="C24" s="4"/>
      <c r="D24" s="4"/>
    </row>
    <row r="25" spans="2:4" x14ac:dyDescent="0.25">
      <c r="B25" s="9" t="s">
        <v>20</v>
      </c>
    </row>
    <row r="26" spans="2:4" x14ac:dyDescent="0.25">
      <c r="B26" s="9" t="s">
        <v>21</v>
      </c>
    </row>
    <row r="27" spans="2:4" x14ac:dyDescent="0.25">
      <c r="B27" s="9" t="s">
        <v>22</v>
      </c>
    </row>
    <row r="28" spans="2:4" x14ac:dyDescent="0.25">
      <c r="B28" s="9" t="s">
        <v>23</v>
      </c>
    </row>
    <row r="29" spans="2:4" x14ac:dyDescent="0.25">
      <c r="B29" s="9" t="s">
        <v>24</v>
      </c>
    </row>
    <row r="30" spans="2:4" x14ac:dyDescent="0.25">
      <c r="B30" s="9" t="s">
        <v>25</v>
      </c>
    </row>
    <row r="31" spans="2:4" x14ac:dyDescent="0.25">
      <c r="B31" s="9" t="s">
        <v>26</v>
      </c>
    </row>
  </sheetData>
  <sheetProtection algorithmName="SHA-512" hashValue="FHDFgD7zTeXfbOKH6nywEvAJS/MG4RfJobcNoNgOfQ2hAnh3TbgC2SMb2WNq3Z508rbu8556GjMZVFr1tLaAww==" saltValue="XFtNNr0Em3BksELmSZ/yXA==" spinCount="100000" sheet="1" objects="1" scenarios="1" selectLockedCells="1"/>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472C4"/>
  </sheetPr>
  <dimension ref="B1:H14"/>
  <sheetViews>
    <sheetView showGridLines="0" zoomScaleNormal="100" workbookViewId="0">
      <pane xSplit="1" ySplit="4" topLeftCell="B5" activePane="bottomRight" state="frozen"/>
      <selection pane="topRight" activeCell="B1" sqref="B1"/>
      <selection pane="bottomLeft" activeCell="A5" sqref="A5"/>
      <selection pane="bottomRight" activeCell="E6" sqref="E6"/>
    </sheetView>
  </sheetViews>
  <sheetFormatPr defaultColWidth="8.7109375" defaultRowHeight="15" x14ac:dyDescent="0.25"/>
  <cols>
    <col min="1" max="1" width="3" customWidth="1"/>
    <col min="2" max="2" width="24" customWidth="1"/>
    <col min="3" max="4" width="16" customWidth="1"/>
    <col min="5" max="5" width="24" customWidth="1"/>
    <col min="6" max="6" width="20" customWidth="1"/>
    <col min="7" max="7" width="16" customWidth="1"/>
    <col min="8" max="8" width="12" customWidth="1"/>
  </cols>
  <sheetData>
    <row r="1" spans="2:8" ht="20.25" x14ac:dyDescent="0.3">
      <c r="B1" s="1" t="s">
        <v>27</v>
      </c>
    </row>
    <row r="2" spans="2:8" x14ac:dyDescent="0.25">
      <c r="B2" s="24" t="s">
        <v>28</v>
      </c>
    </row>
    <row r="4" spans="2:8" ht="25.5" x14ac:dyDescent="0.25">
      <c r="B4" s="10" t="s">
        <v>29</v>
      </c>
      <c r="C4" s="10" t="s">
        <v>30</v>
      </c>
      <c r="D4" s="10" t="s">
        <v>31</v>
      </c>
      <c r="E4" s="10" t="s">
        <v>32</v>
      </c>
      <c r="F4" s="10" t="s">
        <v>33</v>
      </c>
      <c r="G4" s="10" t="s">
        <v>34</v>
      </c>
      <c r="H4" s="10" t="s">
        <v>35</v>
      </c>
    </row>
    <row r="5" spans="2:8" x14ac:dyDescent="0.25">
      <c r="B5" s="11" t="s">
        <v>36</v>
      </c>
      <c r="C5" s="21">
        <v>29160.3</v>
      </c>
      <c r="D5" s="22">
        <v>46356</v>
      </c>
      <c r="E5" s="23" t="s">
        <v>37</v>
      </c>
      <c r="F5" s="12">
        <f>IF(D5="",DATE(1900,1,1),IF(UPPER(E5)="Y",EDATE(D5,12),D5))</f>
        <v>46356</v>
      </c>
      <c r="G5" s="13">
        <f>IF(C5="","",C5/12)</f>
        <v>2430.0250000000001</v>
      </c>
      <c r="H5" s="11">
        <f>YEAR(F5)*12+MONTH(F5)</f>
        <v>24323</v>
      </c>
    </row>
    <row r="6" spans="2:8" x14ac:dyDescent="0.25">
      <c r="B6" s="11" t="s">
        <v>38</v>
      </c>
      <c r="C6" s="21">
        <v>5547</v>
      </c>
      <c r="D6" s="22">
        <v>46239</v>
      </c>
      <c r="E6" s="23" t="s">
        <v>39</v>
      </c>
      <c r="F6" s="12">
        <f>IF(D6="",DATE(1900,1,1),IF(UPPER(E6)="Y",EDATE(D6,12),D6))</f>
        <v>46604</v>
      </c>
      <c r="G6" s="13">
        <f>IF(C6="","",C6/12)</f>
        <v>462.25</v>
      </c>
      <c r="H6" s="11">
        <f>YEAR(F6)*12+MONTH(F6)</f>
        <v>24332</v>
      </c>
    </row>
    <row r="7" spans="2:8" x14ac:dyDescent="0.25">
      <c r="B7" s="11" t="s">
        <v>40</v>
      </c>
      <c r="C7" s="21"/>
      <c r="D7" s="22"/>
      <c r="E7" s="23"/>
      <c r="F7" s="12">
        <f>IF(D7="",DATE(1900,1,1),IF(UPPER(E7)="Y",EDATE(D7,12),D7))</f>
        <v>1</v>
      </c>
      <c r="G7" s="13" t="str">
        <f>IF(C7="","",C7/12)</f>
        <v/>
      </c>
      <c r="H7" s="11">
        <f>YEAR(F7)*12+MONTH(F7)</f>
        <v>22801</v>
      </c>
    </row>
    <row r="8" spans="2:8" x14ac:dyDescent="0.25">
      <c r="B8" s="11" t="s">
        <v>41</v>
      </c>
      <c r="C8" s="21"/>
      <c r="D8" s="22"/>
      <c r="E8" s="23"/>
      <c r="F8" s="12">
        <f>IF(D8="",DATE(1900,1,1),IF(UPPER(E8)="Y",EDATE(D8,12),D8))</f>
        <v>1</v>
      </c>
      <c r="G8" s="13" t="str">
        <f>IF(C8="","",C8/12)</f>
        <v/>
      </c>
      <c r="H8" s="11">
        <f>YEAR(F8)*12+MONTH(F8)</f>
        <v>22801</v>
      </c>
    </row>
    <row r="9" spans="2:8" x14ac:dyDescent="0.25">
      <c r="B9" s="11" t="s">
        <v>42</v>
      </c>
      <c r="C9" s="21"/>
      <c r="D9" s="22"/>
      <c r="E9" s="23"/>
      <c r="F9" s="12">
        <f>IF(D9="",DATE(1900,1,1),IF(UPPER(E9)="Y",EDATE(D9,12),D9))</f>
        <v>1</v>
      </c>
      <c r="G9" s="13" t="str">
        <f>IF(C9="","",C9/12)</f>
        <v/>
      </c>
      <c r="H9" s="11">
        <f>YEAR(F9)*12+MONTH(F9)</f>
        <v>22801</v>
      </c>
    </row>
    <row r="10" spans="2:8" x14ac:dyDescent="0.25">
      <c r="B10" s="14" t="s">
        <v>43</v>
      </c>
      <c r="C10" s="15">
        <f>SUM(C5:C9)</f>
        <v>34707.300000000003</v>
      </c>
      <c r="D10" s="16"/>
      <c r="E10" s="16"/>
      <c r="F10" s="16"/>
      <c r="G10" s="15">
        <f>SUM(G5:G9)</f>
        <v>2892.2750000000001</v>
      </c>
      <c r="H10" s="16"/>
    </row>
    <row r="12" spans="2:8" ht="15" customHeight="1" x14ac:dyDescent="0.25">
      <c r="B12" s="25" t="s">
        <v>44</v>
      </c>
      <c r="C12" s="25"/>
      <c r="D12" s="25"/>
      <c r="E12" s="25"/>
      <c r="F12" s="25"/>
      <c r="G12" s="25"/>
      <c r="H12" s="25"/>
    </row>
    <row r="13" spans="2:8" x14ac:dyDescent="0.25">
      <c r="B13" s="25"/>
      <c r="C13" s="25"/>
      <c r="D13" s="25"/>
      <c r="E13" s="25"/>
      <c r="F13" s="25"/>
      <c r="G13" s="25"/>
      <c r="H13" s="25"/>
    </row>
    <row r="14" spans="2:8" x14ac:dyDescent="0.25">
      <c r="B14" s="25"/>
      <c r="C14" s="25"/>
      <c r="D14" s="25"/>
      <c r="E14" s="25"/>
      <c r="F14" s="25"/>
      <c r="G14" s="25"/>
      <c r="H14" s="25"/>
    </row>
  </sheetData>
  <sheetProtection algorithmName="SHA-512" hashValue="QUs7Ot758UYehZZD6+tt9ioWokJG1bClKqeFRf998R//OMNPfHZomxsv3iIIhiKWiZ1Y0yNGPaWOwZP6vCKrpg==" saltValue="YdNivMjJ7F9lF74uzVcjgw==" spinCount="100000" sheet="1" objects="1" scenarios="1" selectLockedCells="1"/>
  <mergeCells count="1">
    <mergeCell ref="B12:H1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7D32"/>
  </sheetPr>
  <dimension ref="B1:O23"/>
  <sheetViews>
    <sheetView showGridLines="0" zoomScaleNormal="100" workbookViewId="0">
      <pane xSplit="2" ySplit="5" topLeftCell="C6" activePane="bottomRight" state="frozen"/>
      <selection pane="topRight" activeCell="C1" sqref="C1"/>
      <selection pane="bottomLeft" activeCell="A6" sqref="A6"/>
      <selection pane="bottomRight" activeCell="E10" sqref="E10"/>
    </sheetView>
  </sheetViews>
  <sheetFormatPr defaultColWidth="8.7109375" defaultRowHeight="15" x14ac:dyDescent="0.25"/>
  <cols>
    <col min="1" max="1" width="3" customWidth="1"/>
    <col min="2" max="2" width="30" customWidth="1"/>
    <col min="3" max="3" width="18.7109375" customWidth="1"/>
    <col min="4" max="15" width="12" customWidth="1"/>
  </cols>
  <sheetData>
    <row r="1" spans="2:15" ht="20.25" x14ac:dyDescent="0.3">
      <c r="B1" s="1" t="s">
        <v>45</v>
      </c>
    </row>
    <row r="2" spans="2:15" x14ac:dyDescent="0.25">
      <c r="B2" s="2" t="s">
        <v>46</v>
      </c>
    </row>
    <row r="4" spans="2:15" x14ac:dyDescent="0.25">
      <c r="B4" s="17" t="s">
        <v>47</v>
      </c>
      <c r="C4" s="18" t="s">
        <v>48</v>
      </c>
      <c r="D4" s="18" t="s">
        <v>49</v>
      </c>
      <c r="E4" s="18" t="s">
        <v>50</v>
      </c>
      <c r="F4" s="18" t="s">
        <v>51</v>
      </c>
      <c r="G4" s="18" t="s">
        <v>52</v>
      </c>
      <c r="H4" s="18" t="s">
        <v>53</v>
      </c>
      <c r="I4" s="18" t="s">
        <v>54</v>
      </c>
      <c r="J4" s="18" t="s">
        <v>55</v>
      </c>
      <c r="K4" s="18" t="s">
        <v>56</v>
      </c>
      <c r="L4" s="18" t="s">
        <v>57</v>
      </c>
      <c r="M4" s="18" t="s">
        <v>58</v>
      </c>
      <c r="N4" s="18" t="s">
        <v>59</v>
      </c>
      <c r="O4" s="18" t="s">
        <v>60</v>
      </c>
    </row>
    <row r="5" spans="2:15" x14ac:dyDescent="0.25">
      <c r="B5" s="5" t="s">
        <v>61</v>
      </c>
      <c r="C5" s="19">
        <f>'Setup &amp; Summary'!C12</f>
        <v>46242</v>
      </c>
      <c r="D5" s="19">
        <f>'Setup &amp; Summary'!C13</f>
        <v>46296</v>
      </c>
      <c r="E5" s="19">
        <f t="shared" ref="E5:O5" si="0">EDATE(D5,1)</f>
        <v>46327</v>
      </c>
      <c r="F5" s="19">
        <f t="shared" si="0"/>
        <v>46357</v>
      </c>
      <c r="G5" s="19">
        <f t="shared" si="0"/>
        <v>46388</v>
      </c>
      <c r="H5" s="19">
        <f t="shared" si="0"/>
        <v>46419</v>
      </c>
      <c r="I5" s="19">
        <f t="shared" si="0"/>
        <v>46447</v>
      </c>
      <c r="J5" s="19">
        <f t="shared" si="0"/>
        <v>46478</v>
      </c>
      <c r="K5" s="19">
        <f t="shared" si="0"/>
        <v>46508</v>
      </c>
      <c r="L5" s="19">
        <f t="shared" si="0"/>
        <v>46539</v>
      </c>
      <c r="M5" s="19">
        <f t="shared" si="0"/>
        <v>46569</v>
      </c>
      <c r="N5" s="19">
        <f t="shared" si="0"/>
        <v>46600</v>
      </c>
      <c r="O5" s="19">
        <f t="shared" si="0"/>
        <v>46631</v>
      </c>
    </row>
    <row r="6" spans="2:15" x14ac:dyDescent="0.25">
      <c r="B6" s="9" t="s">
        <v>62</v>
      </c>
      <c r="C6" s="9">
        <f t="shared" ref="C6:O6" si="1">YEAR(C5)*12+MONTH(C5)</f>
        <v>24320</v>
      </c>
      <c r="D6" s="9">
        <f t="shared" si="1"/>
        <v>24322</v>
      </c>
      <c r="E6" s="9">
        <f t="shared" si="1"/>
        <v>24323</v>
      </c>
      <c r="F6" s="9">
        <f t="shared" si="1"/>
        <v>24324</v>
      </c>
      <c r="G6" s="9">
        <f t="shared" si="1"/>
        <v>24325</v>
      </c>
      <c r="H6" s="9">
        <f t="shared" si="1"/>
        <v>24326</v>
      </c>
      <c r="I6" s="9">
        <f t="shared" si="1"/>
        <v>24327</v>
      </c>
      <c r="J6" s="9">
        <f t="shared" si="1"/>
        <v>24328</v>
      </c>
      <c r="K6" s="9">
        <f t="shared" si="1"/>
        <v>24329</v>
      </c>
      <c r="L6" s="9">
        <f t="shared" si="1"/>
        <v>24330</v>
      </c>
      <c r="M6" s="9">
        <f t="shared" si="1"/>
        <v>24331</v>
      </c>
      <c r="N6" s="9">
        <f t="shared" si="1"/>
        <v>24332</v>
      </c>
      <c r="O6" s="9">
        <f t="shared" si="1"/>
        <v>24333</v>
      </c>
    </row>
    <row r="7" spans="2:15" x14ac:dyDescent="0.25">
      <c r="B7" s="5" t="s">
        <v>63</v>
      </c>
      <c r="C7" s="6">
        <v>0</v>
      </c>
      <c r="D7" s="6">
        <f>'Escrow Items'!G10</f>
        <v>2892.2750000000001</v>
      </c>
      <c r="E7" s="6">
        <f>'Escrow Items'!G10</f>
        <v>2892.2750000000001</v>
      </c>
      <c r="F7" s="6">
        <f>'Escrow Items'!G10</f>
        <v>2892.2750000000001</v>
      </c>
      <c r="G7" s="6">
        <f>'Escrow Items'!G10</f>
        <v>2892.2750000000001</v>
      </c>
      <c r="H7" s="6">
        <f>'Escrow Items'!G10</f>
        <v>2892.2750000000001</v>
      </c>
      <c r="I7" s="6">
        <f>'Escrow Items'!G10</f>
        <v>2892.2750000000001</v>
      </c>
      <c r="J7" s="6">
        <f>'Escrow Items'!G10</f>
        <v>2892.2750000000001</v>
      </c>
      <c r="K7" s="6">
        <f>'Escrow Items'!G10</f>
        <v>2892.2750000000001</v>
      </c>
      <c r="L7" s="6">
        <f>'Escrow Items'!G10</f>
        <v>2892.2750000000001</v>
      </c>
      <c r="M7" s="6">
        <f>'Escrow Items'!G10</f>
        <v>2892.2750000000001</v>
      </c>
      <c r="N7" s="6">
        <f>'Escrow Items'!G10</f>
        <v>2892.2750000000001</v>
      </c>
      <c r="O7" s="6">
        <f>'Escrow Items'!G10</f>
        <v>2892.2750000000001</v>
      </c>
    </row>
    <row r="8" spans="2:15" x14ac:dyDescent="0.25">
      <c r="B8" s="5" t="s">
        <v>64</v>
      </c>
      <c r="C8" s="6">
        <f>SUMPRODUCT(('Escrow Items'!$H$5:$H$9=C6)*'Escrow Items'!$C$5:$C$9)</f>
        <v>0</v>
      </c>
      <c r="D8" s="6">
        <f>SUMPRODUCT(('Escrow Items'!$H$5:$H$9=D6)*'Escrow Items'!$C$5:$C$9)</f>
        <v>0</v>
      </c>
      <c r="E8" s="6">
        <f>SUMPRODUCT(('Escrow Items'!$H$5:$H$9=E6)*'Escrow Items'!$C$5:$C$9)</f>
        <v>29160.3</v>
      </c>
      <c r="F8" s="6">
        <f>SUMPRODUCT(('Escrow Items'!$H$5:$H$9=F6)*'Escrow Items'!$C$5:$C$9)</f>
        <v>0</v>
      </c>
      <c r="G8" s="6">
        <f>SUMPRODUCT(('Escrow Items'!$H$5:$H$9=G6)*'Escrow Items'!$C$5:$C$9)</f>
        <v>0</v>
      </c>
      <c r="H8" s="6">
        <f>SUMPRODUCT(('Escrow Items'!$H$5:$H$9=H6)*'Escrow Items'!$C$5:$C$9)</f>
        <v>0</v>
      </c>
      <c r="I8" s="6">
        <f>SUMPRODUCT(('Escrow Items'!$H$5:$H$9=I6)*'Escrow Items'!$C$5:$C$9)</f>
        <v>0</v>
      </c>
      <c r="J8" s="6">
        <f>SUMPRODUCT(('Escrow Items'!$H$5:$H$9=J6)*'Escrow Items'!$C$5:$C$9)</f>
        <v>0</v>
      </c>
      <c r="K8" s="6">
        <f>SUMPRODUCT(('Escrow Items'!$H$5:$H$9=K6)*'Escrow Items'!$C$5:$C$9)</f>
        <v>0</v>
      </c>
      <c r="L8" s="6">
        <f>SUMPRODUCT(('Escrow Items'!$H$5:$H$9=L6)*'Escrow Items'!$C$5:$C$9)</f>
        <v>0</v>
      </c>
      <c r="M8" s="6">
        <f>SUMPRODUCT(('Escrow Items'!$H$5:$H$9=M6)*'Escrow Items'!$C$5:$C$9)</f>
        <v>0</v>
      </c>
      <c r="N8" s="6">
        <f>SUMPRODUCT(('Escrow Items'!$H$5:$H$9=N6)*'Escrow Items'!$C$5:$C$9)</f>
        <v>5547</v>
      </c>
      <c r="O8" s="6">
        <f>SUMPRODUCT(('Escrow Items'!$H$5:$H$9=O6)*'Escrow Items'!$C$5:$C$9)</f>
        <v>0</v>
      </c>
    </row>
    <row r="9" spans="2:15" x14ac:dyDescent="0.25">
      <c r="B9" s="9" t="s">
        <v>65</v>
      </c>
      <c r="C9" s="20">
        <f>C7</f>
        <v>0</v>
      </c>
      <c r="D9" s="20">
        <f t="shared" ref="D9:O9" si="2">C9+D7</f>
        <v>2892.2750000000001</v>
      </c>
      <c r="E9" s="20">
        <f t="shared" si="2"/>
        <v>5784.55</v>
      </c>
      <c r="F9" s="20">
        <f t="shared" si="2"/>
        <v>8676.8250000000007</v>
      </c>
      <c r="G9" s="20">
        <f t="shared" si="2"/>
        <v>11569.1</v>
      </c>
      <c r="H9" s="20">
        <f t="shared" si="2"/>
        <v>14461.375</v>
      </c>
      <c r="I9" s="20">
        <f t="shared" si="2"/>
        <v>17353.650000000001</v>
      </c>
      <c r="J9" s="20">
        <f t="shared" si="2"/>
        <v>20245.925000000003</v>
      </c>
      <c r="K9" s="20">
        <f t="shared" si="2"/>
        <v>23138.200000000004</v>
      </c>
      <c r="L9" s="20">
        <f t="shared" si="2"/>
        <v>26030.475000000006</v>
      </c>
      <c r="M9" s="20">
        <f t="shared" si="2"/>
        <v>28922.750000000007</v>
      </c>
      <c r="N9" s="20">
        <f t="shared" si="2"/>
        <v>31815.025000000009</v>
      </c>
      <c r="O9" s="20">
        <f t="shared" si="2"/>
        <v>34707.30000000001</v>
      </c>
    </row>
    <row r="10" spans="2:15" x14ac:dyDescent="0.25">
      <c r="B10" s="9" t="s">
        <v>66</v>
      </c>
      <c r="C10" s="20">
        <f>C8</f>
        <v>0</v>
      </c>
      <c r="D10" s="20">
        <f t="shared" ref="D10:O10" si="3">C10+D8</f>
        <v>0</v>
      </c>
      <c r="E10" s="20">
        <f t="shared" si="3"/>
        <v>29160.3</v>
      </c>
      <c r="F10" s="20">
        <f t="shared" si="3"/>
        <v>29160.3</v>
      </c>
      <c r="G10" s="20">
        <f t="shared" si="3"/>
        <v>29160.3</v>
      </c>
      <c r="H10" s="20">
        <f t="shared" si="3"/>
        <v>29160.3</v>
      </c>
      <c r="I10" s="20">
        <f t="shared" si="3"/>
        <v>29160.3</v>
      </c>
      <c r="J10" s="20">
        <f t="shared" si="3"/>
        <v>29160.3</v>
      </c>
      <c r="K10" s="20">
        <f t="shared" si="3"/>
        <v>29160.3</v>
      </c>
      <c r="L10" s="20">
        <f t="shared" si="3"/>
        <v>29160.3</v>
      </c>
      <c r="M10" s="20">
        <f t="shared" si="3"/>
        <v>29160.3</v>
      </c>
      <c r="N10" s="20">
        <f t="shared" si="3"/>
        <v>34707.300000000003</v>
      </c>
      <c r="O10" s="20">
        <f t="shared" si="3"/>
        <v>34707.300000000003</v>
      </c>
    </row>
    <row r="11" spans="2:15" x14ac:dyDescent="0.25">
      <c r="B11" s="9" t="s">
        <v>67</v>
      </c>
      <c r="C11" s="20">
        <f t="shared" ref="C11:O11" si="4">C9-C10</f>
        <v>0</v>
      </c>
      <c r="D11" s="20">
        <f t="shared" si="4"/>
        <v>2892.2750000000001</v>
      </c>
      <c r="E11" s="20">
        <f t="shared" si="4"/>
        <v>-23375.75</v>
      </c>
      <c r="F11" s="20">
        <f t="shared" si="4"/>
        <v>-20483.474999999999</v>
      </c>
      <c r="G11" s="20">
        <f t="shared" si="4"/>
        <v>-17591.199999999997</v>
      </c>
      <c r="H11" s="20">
        <f t="shared" si="4"/>
        <v>-14698.924999999999</v>
      </c>
      <c r="I11" s="20">
        <f t="shared" si="4"/>
        <v>-11806.649999999998</v>
      </c>
      <c r="J11" s="20">
        <f t="shared" si="4"/>
        <v>-8914.3749999999964</v>
      </c>
      <c r="K11" s="20">
        <f t="shared" si="4"/>
        <v>-6022.0999999999949</v>
      </c>
      <c r="L11" s="20">
        <f t="shared" si="4"/>
        <v>-3129.8249999999935</v>
      </c>
      <c r="M11" s="20">
        <f t="shared" si="4"/>
        <v>-237.549999999992</v>
      </c>
      <c r="N11" s="20">
        <f t="shared" si="4"/>
        <v>-2892.2749999999942</v>
      </c>
      <c r="O11" s="20">
        <f t="shared" si="4"/>
        <v>0</v>
      </c>
    </row>
    <row r="13" spans="2:15" x14ac:dyDescent="0.25">
      <c r="B13" s="5" t="s">
        <v>68</v>
      </c>
      <c r="C13" s="6">
        <f>MIN(C11:O11)</f>
        <v>-23375.75</v>
      </c>
    </row>
    <row r="14" spans="2:15" x14ac:dyDescent="0.25">
      <c r="B14" s="5" t="s">
        <v>18</v>
      </c>
      <c r="C14" s="6">
        <f>'Setup &amp; Summary'!C14*'Escrow Items'!G10</f>
        <v>5784.55</v>
      </c>
    </row>
    <row r="15" spans="2:15" ht="15.75" x14ac:dyDescent="0.25">
      <c r="B15" s="7" t="s">
        <v>69</v>
      </c>
      <c r="C15" s="8">
        <f>MAX(0,C14-C13-'Setup &amp; Summary'!C15)</f>
        <v>29160.3</v>
      </c>
    </row>
    <row r="16" spans="2:15" x14ac:dyDescent="0.25">
      <c r="B16" s="5" t="s">
        <v>70</v>
      </c>
      <c r="C16" s="6">
        <f>C15+C13+'Setup &amp; Summary'!C15</f>
        <v>5784.5499999999993</v>
      </c>
    </row>
    <row r="19" spans="2:15" x14ac:dyDescent="0.25">
      <c r="B19" s="3" t="s">
        <v>71</v>
      </c>
      <c r="C19" s="4"/>
      <c r="D19" s="4"/>
      <c r="E19" s="4"/>
      <c r="F19" s="4"/>
      <c r="G19" s="4"/>
      <c r="H19" s="4"/>
      <c r="I19" s="4"/>
      <c r="J19" s="4"/>
      <c r="K19" s="4"/>
      <c r="L19" s="4"/>
      <c r="M19" s="4"/>
      <c r="N19" s="4"/>
      <c r="O19" s="4"/>
    </row>
    <row r="20" spans="2:15" x14ac:dyDescent="0.25">
      <c r="B20" s="5" t="s">
        <v>72</v>
      </c>
      <c r="C20" s="6">
        <f>C15+'Setup &amp; Summary'!C15</f>
        <v>29160.3</v>
      </c>
      <c r="D20" s="6">
        <f t="shared" ref="D20:O20" si="5">C21</f>
        <v>29160.3</v>
      </c>
      <c r="E20" s="6">
        <f t="shared" si="5"/>
        <v>32052.575000000001</v>
      </c>
      <c r="F20" s="6">
        <f t="shared" si="5"/>
        <v>5784.5499999999993</v>
      </c>
      <c r="G20" s="6">
        <f t="shared" si="5"/>
        <v>8676.8249999999989</v>
      </c>
      <c r="H20" s="6">
        <f t="shared" si="5"/>
        <v>11569.099999999999</v>
      </c>
      <c r="I20" s="6">
        <f t="shared" si="5"/>
        <v>14461.374999999998</v>
      </c>
      <c r="J20" s="6">
        <f t="shared" si="5"/>
        <v>17353.649999999998</v>
      </c>
      <c r="K20" s="6">
        <f t="shared" si="5"/>
        <v>20245.924999999999</v>
      </c>
      <c r="L20" s="6">
        <f t="shared" si="5"/>
        <v>23138.2</v>
      </c>
      <c r="M20" s="6">
        <f t="shared" si="5"/>
        <v>26030.475000000002</v>
      </c>
      <c r="N20" s="6">
        <f t="shared" si="5"/>
        <v>28922.750000000004</v>
      </c>
      <c r="O20" s="6">
        <f t="shared" si="5"/>
        <v>26268.025000000005</v>
      </c>
    </row>
    <row r="21" spans="2:15" x14ac:dyDescent="0.25">
      <c r="B21" s="5" t="s">
        <v>73</v>
      </c>
      <c r="C21" s="6">
        <f t="shared" ref="C21:O21" si="6">C20+C7-C8</f>
        <v>29160.3</v>
      </c>
      <c r="D21" s="6">
        <f t="shared" si="6"/>
        <v>32052.575000000001</v>
      </c>
      <c r="E21" s="6">
        <f t="shared" si="6"/>
        <v>5784.5499999999993</v>
      </c>
      <c r="F21" s="6">
        <f t="shared" si="6"/>
        <v>8676.8249999999989</v>
      </c>
      <c r="G21" s="6">
        <f t="shared" si="6"/>
        <v>11569.099999999999</v>
      </c>
      <c r="H21" s="6">
        <f t="shared" si="6"/>
        <v>14461.374999999998</v>
      </c>
      <c r="I21" s="6">
        <f t="shared" si="6"/>
        <v>17353.649999999998</v>
      </c>
      <c r="J21" s="6">
        <f t="shared" si="6"/>
        <v>20245.924999999999</v>
      </c>
      <c r="K21" s="6">
        <f t="shared" si="6"/>
        <v>23138.2</v>
      </c>
      <c r="L21" s="6">
        <f t="shared" si="6"/>
        <v>26030.475000000002</v>
      </c>
      <c r="M21" s="6">
        <f t="shared" si="6"/>
        <v>28922.750000000004</v>
      </c>
      <c r="N21" s="6">
        <f t="shared" si="6"/>
        <v>26268.025000000005</v>
      </c>
      <c r="O21" s="6">
        <f t="shared" si="6"/>
        <v>29160.300000000007</v>
      </c>
    </row>
    <row r="22" spans="2:15" x14ac:dyDescent="0.25">
      <c r="B22" s="9" t="s">
        <v>74</v>
      </c>
      <c r="C22" s="20">
        <f>C14</f>
        <v>5784.55</v>
      </c>
      <c r="D22" s="20">
        <f>C14</f>
        <v>5784.55</v>
      </c>
      <c r="E22" s="20">
        <f>C14</f>
        <v>5784.55</v>
      </c>
      <c r="F22" s="20">
        <f>C14</f>
        <v>5784.55</v>
      </c>
      <c r="G22" s="20">
        <f>C14</f>
        <v>5784.55</v>
      </c>
      <c r="H22" s="20">
        <f>C14</f>
        <v>5784.55</v>
      </c>
      <c r="I22" s="20">
        <f>C14</f>
        <v>5784.55</v>
      </c>
      <c r="J22" s="20">
        <f>C14</f>
        <v>5784.55</v>
      </c>
      <c r="K22" s="20">
        <f>C14</f>
        <v>5784.55</v>
      </c>
      <c r="L22" s="20">
        <f>C14</f>
        <v>5784.55</v>
      </c>
      <c r="M22" s="20">
        <f>C14</f>
        <v>5784.55</v>
      </c>
      <c r="N22" s="20">
        <f>C14</f>
        <v>5784.55</v>
      </c>
      <c r="O22" s="20">
        <f>C14</f>
        <v>5784.55</v>
      </c>
    </row>
    <row r="23" spans="2:15" x14ac:dyDescent="0.25">
      <c r="B23" s="9" t="s">
        <v>75</v>
      </c>
      <c r="C23" s="20">
        <f t="shared" ref="C23:O23" si="7">C21-C22</f>
        <v>23375.75</v>
      </c>
      <c r="D23" s="20">
        <f t="shared" si="7"/>
        <v>26268.025000000001</v>
      </c>
      <c r="E23" s="20">
        <f t="shared" si="7"/>
        <v>0</v>
      </c>
      <c r="F23" s="20">
        <f t="shared" si="7"/>
        <v>2892.2749999999987</v>
      </c>
      <c r="G23" s="20">
        <f t="shared" si="7"/>
        <v>5784.5499999999984</v>
      </c>
      <c r="H23" s="20">
        <f t="shared" si="7"/>
        <v>8676.8249999999971</v>
      </c>
      <c r="I23" s="20">
        <f t="shared" si="7"/>
        <v>11569.099999999999</v>
      </c>
      <c r="J23" s="20">
        <f t="shared" si="7"/>
        <v>14461.375</v>
      </c>
      <c r="K23" s="20">
        <f t="shared" si="7"/>
        <v>17353.650000000001</v>
      </c>
      <c r="L23" s="20">
        <f t="shared" si="7"/>
        <v>20245.925000000003</v>
      </c>
      <c r="M23" s="20">
        <f t="shared" si="7"/>
        <v>23138.200000000004</v>
      </c>
      <c r="N23" s="20">
        <f t="shared" si="7"/>
        <v>20483.475000000006</v>
      </c>
      <c r="O23" s="20">
        <f t="shared" si="7"/>
        <v>23375.750000000007</v>
      </c>
    </row>
  </sheetData>
  <sheetProtection algorithmName="SHA-512" hashValue="n7UABaTgzHhR9q3x2UQa9sefxvawW+amyxczpQgZGhfAzVY6m0u8EY00mv7gj8w+LwfYK/b7BghSa2WjHqsrjw==" saltValue="olmU5eNx8sH+s8skLUQW7Q==" spinCount="100000" sheet="1" objects="1" scenarios="1" selectLockedCells="1"/>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Setup &amp; Summary</vt:lpstr>
      <vt:lpstr>Escrow Items</vt:lpstr>
      <vt:lpstr>12-Month Ledger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Eric Covey</cp:lastModifiedBy>
  <cp:revision>0</cp:revision>
  <dcterms:created xsi:type="dcterms:W3CDTF">2026-08-03T15:27:30Z</dcterms:created>
  <dcterms:modified xsi:type="dcterms:W3CDTF">2026-08-03T15:42:18Z</dcterms:modified>
  <dc:language>en-US</dc:language>
</cp:coreProperties>
</file>